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ubair Asif\APR Calculator Locked\"/>
    </mc:Choice>
  </mc:AlternateContent>
  <xr:revisionPtr revIDLastSave="0" documentId="8_{9E00C8E7-1CF5-4D57-A7F6-FB5A4BB19876}" xr6:coauthVersionLast="36" xr6:coauthVersionMax="36" xr10:uidLastSave="{00000000-0000-0000-0000-000000000000}"/>
  <bookViews>
    <workbookView xWindow="-108" yWindow="-108" windowWidth="23256" windowHeight="12576" tabRatio="862" xr2:uid="{00000000-000D-0000-FFFF-FFFF00000000}"/>
  </bookViews>
  <sheets>
    <sheet name="المدخلات" sheetId="9" r:id="rId1"/>
    <sheet name="بطاقات الائتمان" sheetId="1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4" l="1"/>
  <c r="C8" i="14"/>
  <c r="J8" i="9" l="1"/>
  <c r="J7" i="9"/>
  <c r="J6" i="9"/>
  <c r="K17" i="14" l="1"/>
  <c r="L17" i="14" l="1"/>
  <c r="L18" i="14"/>
  <c r="K18" i="14"/>
  <c r="J18" i="14"/>
  <c r="J17" i="14"/>
  <c r="E18" i="14"/>
  <c r="D18" i="14"/>
  <c r="M17" i="14" l="1"/>
  <c r="M18" i="14"/>
  <c r="N17" i="14" l="1"/>
  <c r="C18" i="14" l="1"/>
  <c r="R18" i="14" s="1"/>
  <c r="C17" i="14"/>
  <c r="R17" i="14" s="1"/>
  <c r="I9" i="9"/>
  <c r="I18" i="14" l="1"/>
  <c r="G18" i="14"/>
  <c r="B19" i="14"/>
  <c r="J19" i="14" l="1"/>
  <c r="L19" i="14"/>
  <c r="K19" i="14"/>
  <c r="C19" i="14"/>
  <c r="R19" i="14" s="1"/>
  <c r="E19" i="14"/>
  <c r="D19" i="14"/>
  <c r="F18" i="14"/>
  <c r="H18" i="14"/>
  <c r="N18" i="14" s="1"/>
  <c r="B20" i="14"/>
  <c r="M19" i="14" l="1"/>
  <c r="K20" i="14"/>
  <c r="L20" i="14"/>
  <c r="J20" i="14"/>
  <c r="C20" i="14"/>
  <c r="R20" i="14" s="1"/>
  <c r="D20" i="14"/>
  <c r="E20" i="14"/>
  <c r="H19" i="14"/>
  <c r="F19" i="14"/>
  <c r="I19" i="14"/>
  <c r="B21" i="14"/>
  <c r="G19" i="14"/>
  <c r="N19" i="14" l="1"/>
  <c r="M20" i="14"/>
  <c r="J21" i="14"/>
  <c r="L21" i="14"/>
  <c r="K21" i="14"/>
  <c r="C21" i="14"/>
  <c r="R21" i="14" s="1"/>
  <c r="D21" i="14"/>
  <c r="E21" i="14"/>
  <c r="S19" i="14"/>
  <c r="G20" i="14"/>
  <c r="F20" i="14"/>
  <c r="H20" i="14"/>
  <c r="I20" i="14"/>
  <c r="B22" i="14"/>
  <c r="N20" i="14" l="1"/>
  <c r="S20" i="14" s="1"/>
  <c r="M21" i="14"/>
  <c r="L22" i="14"/>
  <c r="J22" i="14"/>
  <c r="K22" i="14"/>
  <c r="C22" i="14"/>
  <c r="R22" i="14" s="1"/>
  <c r="D22" i="14"/>
  <c r="E22" i="14"/>
  <c r="I21" i="14"/>
  <c r="F21" i="14"/>
  <c r="G21" i="14"/>
  <c r="B23" i="14"/>
  <c r="H21" i="14"/>
  <c r="N21" i="14" l="1"/>
  <c r="S21" i="14" s="1"/>
  <c r="M22" i="14"/>
  <c r="K23" i="14"/>
  <c r="J23" i="14"/>
  <c r="L23" i="14"/>
  <c r="C23" i="14"/>
  <c r="R23" i="14" s="1"/>
  <c r="D23" i="14"/>
  <c r="E23" i="14"/>
  <c r="F22" i="14"/>
  <c r="H22" i="14"/>
  <c r="I22" i="14"/>
  <c r="G22" i="14"/>
  <c r="B24" i="14"/>
  <c r="N22" i="14" l="1"/>
  <c r="M23" i="14"/>
  <c r="K24" i="14"/>
  <c r="J24" i="14"/>
  <c r="L24" i="14"/>
  <c r="C24" i="14"/>
  <c r="R24" i="14" s="1"/>
  <c r="D24" i="14"/>
  <c r="E24" i="14"/>
  <c r="S22" i="14"/>
  <c r="I23" i="14"/>
  <c r="F23" i="14"/>
  <c r="H23" i="14"/>
  <c r="B25" i="14"/>
  <c r="G23" i="14"/>
  <c r="N23" i="14" l="1"/>
  <c r="M24" i="14"/>
  <c r="K25" i="14"/>
  <c r="J25" i="14"/>
  <c r="L25" i="14"/>
  <c r="C25" i="14"/>
  <c r="R25" i="14" s="1"/>
  <c r="E25" i="14"/>
  <c r="D25" i="14"/>
  <c r="S23" i="14"/>
  <c r="I24" i="14"/>
  <c r="G24" i="14"/>
  <c r="H24" i="14"/>
  <c r="F24" i="14"/>
  <c r="B26" i="14"/>
  <c r="N24" i="14" l="1"/>
  <c r="S24" i="14" s="1"/>
  <c r="M25" i="14"/>
  <c r="L26" i="14"/>
  <c r="J26" i="14"/>
  <c r="K26" i="14"/>
  <c r="C26" i="14"/>
  <c r="R26" i="14" s="1"/>
  <c r="E26" i="14"/>
  <c r="D26" i="14"/>
  <c r="I25" i="14"/>
  <c r="G25" i="14"/>
  <c r="F25" i="14"/>
  <c r="H25" i="14"/>
  <c r="B27" i="14"/>
  <c r="N25" i="14" l="1"/>
  <c r="S25" i="14" s="1"/>
  <c r="M26" i="14"/>
  <c r="J27" i="14"/>
  <c r="L27" i="14"/>
  <c r="K27" i="14"/>
  <c r="C27" i="14"/>
  <c r="R27" i="14" s="1"/>
  <c r="E27" i="14"/>
  <c r="D27" i="14"/>
  <c r="I26" i="14"/>
  <c r="G26" i="14"/>
  <c r="H26" i="14"/>
  <c r="F26" i="14"/>
  <c r="B28" i="14"/>
  <c r="N26" i="14" l="1"/>
  <c r="M27" i="14"/>
  <c r="L28" i="14"/>
  <c r="K28" i="14"/>
  <c r="J28" i="14"/>
  <c r="C28" i="14"/>
  <c r="R28" i="14" s="1"/>
  <c r="E28" i="14"/>
  <c r="D28" i="14"/>
  <c r="I27" i="14"/>
  <c r="S26" i="14"/>
  <c r="H27" i="14"/>
  <c r="F27" i="14"/>
  <c r="G27" i="14"/>
  <c r="B29" i="14"/>
  <c r="N27" i="14" l="1"/>
  <c r="S27" i="14" s="1"/>
  <c r="M28" i="14"/>
  <c r="L29" i="14"/>
  <c r="K29" i="14"/>
  <c r="J29" i="14"/>
  <c r="R29" i="14"/>
  <c r="E29" i="14"/>
  <c r="C9" i="14" s="1"/>
  <c r="D29" i="14"/>
  <c r="I28" i="14"/>
  <c r="G28" i="14"/>
  <c r="F28" i="14"/>
  <c r="H28" i="14"/>
  <c r="N28" i="14" l="1"/>
  <c r="S28" i="14" s="1"/>
  <c r="M29" i="14"/>
  <c r="C10" i="14" s="1"/>
  <c r="I29" i="14"/>
  <c r="G29" i="14"/>
  <c r="F29" i="14"/>
  <c r="H29" i="14"/>
  <c r="N29" i="14" s="1"/>
  <c r="S29" i="14" l="1"/>
  <c r="S18" i="14"/>
  <c r="S17" i="14" l="1"/>
  <c r="F6" i="14" s="1"/>
  <c r="L6" i="9" l="1"/>
</calcChain>
</file>

<file path=xl/sharedStrings.xml><?xml version="1.0" encoding="utf-8"?>
<sst xmlns="http://schemas.openxmlformats.org/spreadsheetml/2006/main" count="43" uniqueCount="39">
  <si>
    <t>أي رسوم أخرى</t>
  </si>
  <si>
    <t>الرسوم الإدارية + ضريبة القيمة المضافة الخاصة بها</t>
  </si>
  <si>
    <t>الرسوم السنوية + ضريبة القيمة المضافة الخاصة بها</t>
  </si>
  <si>
    <t>قيمة التمويل</t>
  </si>
  <si>
    <t>مدة التمويل</t>
  </si>
  <si>
    <t>مدة التمويل (بالشهور)</t>
  </si>
  <si>
    <t>الرسوم / المصاريف</t>
  </si>
  <si>
    <t>التكرار</t>
  </si>
  <si>
    <t>متوسط الرسوم حسب تكرارها</t>
  </si>
  <si>
    <t>معدل النسبة السنوي</t>
  </si>
  <si>
    <t>أداة احتساب معدل النسبة السنوي</t>
  </si>
  <si>
    <t>تفاصيل التمويل</t>
  </si>
  <si>
    <t>الرقم التسلسلي</t>
  </si>
  <si>
    <t>تاريخ استحقاق القسط (شهري)</t>
  </si>
  <si>
    <t>أصل المبلغ</t>
  </si>
  <si>
    <t>رسوم الخدمة</t>
  </si>
  <si>
    <t>تاريخ اخر دفعة</t>
  </si>
  <si>
    <t>التاريخ</t>
  </si>
  <si>
    <t>القيمة</t>
  </si>
  <si>
    <t>جدول السداد</t>
  </si>
  <si>
    <t>رسوم التأمين + ضريبة القيمة المضافة الخاصة بها</t>
  </si>
  <si>
    <t>أصل مبلغ التمويل التراكمي</t>
  </si>
  <si>
    <t>تفاصيل التمويل من خلال بطاقات الائتمان</t>
  </si>
  <si>
    <t>تاريخ تخصيص البطاقة / تاريخ الموافقة</t>
  </si>
  <si>
    <t>القسط (الدفعة) الاول</t>
  </si>
  <si>
    <t>سنوي</t>
  </si>
  <si>
    <t>أصل مبلغ التمويل</t>
  </si>
  <si>
    <t>المتبقي من أصل مبلغ التمويل</t>
  </si>
  <si>
    <t>إجمالي الرسوم</t>
  </si>
  <si>
    <t>إجمالي المبلغ المدفوع</t>
  </si>
  <si>
    <t>إجمالي الرسوم المطبقة على كامل فترة التمويل</t>
  </si>
  <si>
    <t>إجمالي الرسوم الإدارية</t>
  </si>
  <si>
    <t>إجمالي مبلغ القسط (الدفعة)</t>
  </si>
  <si>
    <t>تاريخ أول قسط</t>
  </si>
  <si>
    <t>مبلغ كلفة الأجل التراكمي</t>
  </si>
  <si>
    <t>كلفة الأجل السنوية</t>
  </si>
  <si>
    <t>كلفة الأجل</t>
  </si>
  <si>
    <t>مبلغ كلفة الأجل</t>
  </si>
  <si>
    <t xml:space="preserve">أصل مبلغ التمويل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</si>
</sst>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mbria"/>
      <family val="1"/>
    </font>
    <font>
      <b/>
      <sz val="9"/>
      <color theme="0"/>
      <name val="Cambria"/>
      <family val="1"/>
    </font>
    <font>
      <b/>
      <sz val="9"/>
      <color theme="1"/>
      <name val="Cambria"/>
      <family val="1"/>
    </font>
    <font>
      <sz val="9"/>
      <name val="Cambria"/>
      <family val="1"/>
    </font>
    <font>
      <sz val="14"/>
      <color theme="1"/>
      <name val="Sakkal Majalla"/>
    </font>
    <font>
      <sz val="8"/>
      <color theme="1"/>
      <name val="Sakkal Majalla"/>
    </font>
    <font>
      <b/>
      <sz val="12"/>
      <color theme="0"/>
      <name val="Cambria"/>
      <family val="1"/>
    </font>
    <font>
      <b/>
      <sz val="14"/>
      <color theme="0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rgb="FFE2F6E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EDD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164" fontId="2" fillId="0" borderId="1" xfId="1" applyNumberFormat="1" applyFont="1" applyBorder="1"/>
    <xf numFmtId="164" fontId="2" fillId="0" borderId="1" xfId="1" applyNumberFormat="1" applyFont="1" applyBorder="1" applyAlignment="1">
      <alignment horizontal="center" vertical="center"/>
    </xf>
    <xf numFmtId="10" fontId="2" fillId="0" borderId="0" xfId="0" applyNumberFormat="1" applyFont="1"/>
    <xf numFmtId="10" fontId="2" fillId="0" borderId="0" xfId="2" applyNumberFormat="1" applyFont="1"/>
    <xf numFmtId="14" fontId="2" fillId="0" borderId="1" xfId="0" applyNumberFormat="1" applyFont="1" applyBorder="1"/>
    <xf numFmtId="0" fontId="2" fillId="0" borderId="1" xfId="0" applyFont="1" applyFill="1" applyBorder="1"/>
    <xf numFmtId="0" fontId="2" fillId="0" borderId="0" xfId="0" applyFont="1" applyBorder="1"/>
    <xf numFmtId="164" fontId="2" fillId="0" borderId="0" xfId="1" applyNumberFormat="1" applyFont="1"/>
    <xf numFmtId="10" fontId="4" fillId="2" borderId="1" xfId="2" applyNumberFormat="1" applyFont="1" applyFill="1" applyBorder="1" applyAlignment="1">
      <alignment horizontal="center" vertical="center"/>
    </xf>
    <xf numFmtId="9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5" borderId="1" xfId="1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43" fontId="2" fillId="0" borderId="0" xfId="1" applyFont="1"/>
    <xf numFmtId="164" fontId="4" fillId="5" borderId="1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/>
    <xf numFmtId="0" fontId="7" fillId="0" borderId="0" xfId="0" applyFont="1" applyAlignment="1">
      <alignment vertical="center"/>
    </xf>
    <xf numFmtId="0" fontId="6" fillId="0" borderId="10" xfId="0" applyFont="1" applyBorder="1" applyAlignment="1">
      <alignment horizontal="justify" vertical="center" readingOrder="2"/>
    </xf>
    <xf numFmtId="164" fontId="2" fillId="4" borderId="1" xfId="1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164" fontId="2" fillId="0" borderId="1" xfId="1" applyNumberFormat="1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10" fontId="2" fillId="4" borderId="1" xfId="2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3" fontId="2" fillId="7" borderId="1" xfId="0" applyNumberFormat="1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wrapText="1" readingOrder="2"/>
    </xf>
    <xf numFmtId="0" fontId="2" fillId="0" borderId="0" xfId="0" applyFont="1" applyBorder="1" applyAlignment="1">
      <alignment horizontal="right" readingOrder="2"/>
    </xf>
    <xf numFmtId="0" fontId="3" fillId="3" borderId="1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164" fontId="3" fillId="3" borderId="3" xfId="1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3" fillId="6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EE4CE"/>
      <color rgb="FF006600"/>
      <color rgb="FFEFF3FB"/>
      <color rgb="FF24571D"/>
      <color rgb="FFDDDDDD"/>
      <color rgb="FFF6FFF3"/>
      <color rgb="FFDFEDDF"/>
      <color rgb="FFF6E2EC"/>
      <color rgb="FF008080"/>
      <color rgb="FFD9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Q20"/>
  <sheetViews>
    <sheetView showGridLines="0" rightToLeft="1" tabSelected="1" zoomScaleNormal="100" zoomScalePageLayoutView="89" workbookViewId="0">
      <selection activeCell="G8" sqref="G8"/>
    </sheetView>
  </sheetViews>
  <sheetFormatPr defaultColWidth="0" defaultRowHeight="14.1" customHeight="1" x14ac:dyDescent="0.2"/>
  <cols>
    <col min="1" max="1" width="2.5546875" style="1" customWidth="1"/>
    <col min="2" max="2" width="6.44140625" style="1" customWidth="1"/>
    <col min="3" max="3" width="4.44140625" style="1" customWidth="1"/>
    <col min="4" max="4" width="27.109375" style="1" bestFit="1" customWidth="1"/>
    <col min="5" max="5" width="23.109375" style="1" bestFit="1" customWidth="1"/>
    <col min="6" max="6" width="12.44140625" style="1" customWidth="1"/>
    <col min="7" max="7" width="25.109375" style="1" bestFit="1" customWidth="1"/>
    <col min="8" max="9" width="21.88671875" style="1" customWidth="1"/>
    <col min="10" max="10" width="28.88671875" style="1" bestFit="1" customWidth="1"/>
    <col min="11" max="11" width="17.44140625" style="1" customWidth="1"/>
    <col min="12" max="13" width="18.5546875" style="28" bestFit="1" customWidth="1"/>
    <col min="14" max="14" width="8.44140625" style="1" bestFit="1" customWidth="1"/>
    <col min="15" max="15" width="6.88671875" style="1" bestFit="1" customWidth="1"/>
    <col min="16" max="16" width="4" style="1" customWidth="1"/>
    <col min="17" max="17" width="0" style="1" hidden="1" customWidth="1"/>
    <col min="18" max="16384" width="8.88671875" style="1" hidden="1"/>
  </cols>
  <sheetData>
    <row r="1" spans="2:14" ht="14.1" customHeight="1" thickBot="1" x14ac:dyDescent="0.25"/>
    <row r="2" spans="2:14" ht="14.1" customHeight="1" x14ac:dyDescent="0.2">
      <c r="B2" s="17"/>
      <c r="C2" s="18"/>
      <c r="D2" s="18"/>
      <c r="E2" s="18"/>
      <c r="F2" s="18"/>
      <c r="G2" s="18"/>
      <c r="H2" s="18"/>
      <c r="I2" s="18"/>
      <c r="J2" s="18"/>
      <c r="K2" s="18"/>
      <c r="L2" s="29"/>
      <c r="M2" s="29"/>
      <c r="N2" s="19"/>
    </row>
    <row r="3" spans="2:14" ht="14.1" customHeight="1" x14ac:dyDescent="0.2">
      <c r="B3" s="20"/>
      <c r="C3" s="56" t="s">
        <v>22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21"/>
    </row>
    <row r="4" spans="2:14" ht="14.1" customHeight="1" x14ac:dyDescent="0.2">
      <c r="B4" s="20"/>
      <c r="C4" s="11"/>
      <c r="D4" s="11"/>
      <c r="E4" s="11"/>
      <c r="F4" s="11"/>
      <c r="G4" s="11"/>
      <c r="H4" s="11"/>
      <c r="I4" s="11"/>
      <c r="J4" s="11"/>
      <c r="K4" s="11"/>
      <c r="L4" s="30"/>
      <c r="M4" s="30"/>
      <c r="N4" s="21"/>
    </row>
    <row r="5" spans="2:14" ht="36" customHeight="1" x14ac:dyDescent="0.2">
      <c r="B5" s="20"/>
      <c r="C5" s="11"/>
      <c r="D5" s="57" t="s">
        <v>3</v>
      </c>
      <c r="E5" s="58"/>
      <c r="F5" s="25"/>
      <c r="G5" s="26" t="s">
        <v>6</v>
      </c>
      <c r="H5" s="26" t="s">
        <v>7</v>
      </c>
      <c r="I5" s="27" t="s">
        <v>30</v>
      </c>
      <c r="J5" s="27" t="s">
        <v>8</v>
      </c>
      <c r="K5" s="25"/>
      <c r="L5" s="26" t="s">
        <v>9</v>
      </c>
      <c r="M5" s="30"/>
      <c r="N5" s="21"/>
    </row>
    <row r="6" spans="2:14" ht="14.1" customHeight="1" x14ac:dyDescent="0.2">
      <c r="B6" s="20"/>
      <c r="C6" s="11"/>
      <c r="D6" s="34" t="s">
        <v>38</v>
      </c>
      <c r="E6" s="42">
        <v>100000</v>
      </c>
      <c r="F6" s="11"/>
      <c r="G6" s="10" t="s">
        <v>2</v>
      </c>
      <c r="H6" s="50" t="s">
        <v>24</v>
      </c>
      <c r="I6" s="43">
        <v>2300</v>
      </c>
      <c r="J6" s="32">
        <f>IF(H6="سنوي",I6/1,IF(H6="شهري",I6/12,I6))</f>
        <v>2300</v>
      </c>
      <c r="K6" s="11"/>
      <c r="L6" s="33">
        <f>IFERROR('بطاقات الائتمان'!F6,"")</f>
        <v>0.35968117117881782</v>
      </c>
      <c r="M6" s="30"/>
      <c r="N6" s="21"/>
    </row>
    <row r="7" spans="2:14" ht="14.1" customHeight="1" x14ac:dyDescent="0.2">
      <c r="B7" s="20"/>
      <c r="C7" s="11"/>
      <c r="D7" s="10" t="s">
        <v>35</v>
      </c>
      <c r="E7" s="48">
        <v>0.26400000000000001</v>
      </c>
      <c r="F7" s="11"/>
      <c r="G7" s="10" t="s">
        <v>20</v>
      </c>
      <c r="H7" s="50" t="s">
        <v>25</v>
      </c>
      <c r="I7" s="43">
        <v>0</v>
      </c>
      <c r="J7" s="32">
        <f>IF(H7="سنوي",I7/1,IF(H7="شهري",I7/12,I7))</f>
        <v>0</v>
      </c>
      <c r="K7" s="11"/>
      <c r="L7" s="30"/>
      <c r="M7" s="30"/>
      <c r="N7" s="21"/>
    </row>
    <row r="8" spans="2:14" ht="14.1" customHeight="1" x14ac:dyDescent="0.2">
      <c r="B8" s="20"/>
      <c r="C8" s="11"/>
      <c r="F8" s="11"/>
      <c r="G8" s="10" t="s">
        <v>0</v>
      </c>
      <c r="H8" s="50" t="s">
        <v>25</v>
      </c>
      <c r="I8" s="43">
        <v>0</v>
      </c>
      <c r="J8" s="32">
        <f>IF(H8="سنوي",I8/1,IF(H8="شهري",I8/12,I8))</f>
        <v>0</v>
      </c>
      <c r="K8" s="11"/>
      <c r="L8" s="37"/>
      <c r="M8" s="30"/>
      <c r="N8" s="21"/>
    </row>
    <row r="9" spans="2:14" ht="14.1" customHeight="1" x14ac:dyDescent="0.2">
      <c r="B9" s="20"/>
      <c r="C9" s="11"/>
      <c r="D9" s="11"/>
      <c r="E9" s="11"/>
      <c r="F9" s="11"/>
      <c r="G9" s="59" t="s">
        <v>31</v>
      </c>
      <c r="H9" s="60"/>
      <c r="I9" s="36">
        <f>SUM(I6:I8)</f>
        <v>2300</v>
      </c>
      <c r="J9" s="32"/>
      <c r="K9" s="11"/>
      <c r="L9" s="38"/>
      <c r="M9" s="30"/>
      <c r="N9" s="21"/>
    </row>
    <row r="10" spans="2:14" ht="14.1" customHeight="1" x14ac:dyDescent="0.2">
      <c r="B10" s="20"/>
      <c r="C10" s="11"/>
      <c r="D10" s="55" t="s">
        <v>4</v>
      </c>
      <c r="E10" s="55"/>
      <c r="F10" s="11"/>
      <c r="G10" s="11"/>
      <c r="H10" s="11"/>
      <c r="I10" s="11"/>
      <c r="J10" s="11"/>
      <c r="K10" s="11"/>
      <c r="L10" s="30"/>
      <c r="M10" s="30"/>
      <c r="N10" s="21"/>
    </row>
    <row r="11" spans="2:14" ht="14.1" customHeight="1" x14ac:dyDescent="0.2">
      <c r="B11" s="20"/>
      <c r="C11" s="11"/>
      <c r="D11" s="3" t="s">
        <v>23</v>
      </c>
      <c r="E11" s="49">
        <v>45292</v>
      </c>
      <c r="F11" s="11"/>
      <c r="G11" s="11"/>
      <c r="H11" s="11"/>
      <c r="I11" s="11"/>
      <c r="J11" s="11"/>
      <c r="K11" s="11"/>
      <c r="L11" s="30"/>
      <c r="M11" s="30"/>
      <c r="N11" s="21"/>
    </row>
    <row r="12" spans="2:14" ht="14.1" customHeight="1" x14ac:dyDescent="0.2">
      <c r="B12" s="20"/>
      <c r="C12" s="11"/>
      <c r="D12" s="34" t="s">
        <v>33</v>
      </c>
      <c r="E12" s="49">
        <v>45321</v>
      </c>
      <c r="F12" s="11"/>
      <c r="G12" s="11"/>
      <c r="H12" s="11"/>
      <c r="I12" s="11"/>
      <c r="J12" s="11"/>
      <c r="K12" s="11"/>
      <c r="L12" s="30"/>
      <c r="M12" s="30"/>
      <c r="N12" s="21"/>
    </row>
    <row r="13" spans="2:14" ht="14.1" customHeight="1" x14ac:dyDescent="0.2">
      <c r="B13" s="20"/>
      <c r="C13" s="11"/>
      <c r="D13" s="11"/>
      <c r="E13" s="11"/>
      <c r="F13" s="11"/>
      <c r="G13" s="11"/>
      <c r="H13" s="11"/>
      <c r="I13" s="11"/>
      <c r="J13" s="11"/>
      <c r="K13" s="11"/>
      <c r="L13" s="30"/>
      <c r="M13" s="30"/>
      <c r="N13" s="21"/>
    </row>
    <row r="14" spans="2:14" ht="36" customHeight="1" x14ac:dyDescent="0.2">
      <c r="B14" s="20"/>
      <c r="C14" s="11"/>
      <c r="D14" s="53"/>
      <c r="E14" s="54"/>
      <c r="F14" s="54"/>
      <c r="G14" s="54"/>
      <c r="H14" s="11"/>
      <c r="I14" s="11"/>
      <c r="J14" s="11"/>
      <c r="K14" s="11"/>
      <c r="L14" s="30"/>
      <c r="M14" s="30"/>
      <c r="N14" s="21"/>
    </row>
    <row r="15" spans="2:14" ht="14.1" customHeight="1" thickBot="1" x14ac:dyDescent="0.25">
      <c r="B15" s="22"/>
      <c r="C15" s="23"/>
      <c r="D15" s="41"/>
      <c r="E15" s="23"/>
      <c r="F15" s="23"/>
      <c r="G15" s="23"/>
      <c r="H15" s="23"/>
      <c r="I15" s="23"/>
      <c r="J15" s="23"/>
      <c r="K15" s="23"/>
      <c r="L15" s="31"/>
      <c r="M15" s="31"/>
      <c r="N15" s="24"/>
    </row>
    <row r="16" spans="2:14" ht="14.1" customHeight="1" x14ac:dyDescent="0.2">
      <c r="D16" s="40"/>
    </row>
    <row r="20" spans="6:6" ht="14.1" customHeight="1" x14ac:dyDescent="0.2">
      <c r="F20" s="35"/>
    </row>
  </sheetData>
  <mergeCells count="5">
    <mergeCell ref="D14:G14"/>
    <mergeCell ref="D10:E10"/>
    <mergeCell ref="C3:M3"/>
    <mergeCell ref="D5:E5"/>
    <mergeCell ref="G9:H9"/>
  </mergeCells>
  <conditionalFormatting sqref="E12">
    <cfRule type="expression" dxfId="0" priority="1">
      <formula>$E12&lt;$E11</formula>
    </cfRule>
  </conditionalFormatting>
  <dataValidations count="2">
    <dataValidation type="list" allowBlank="1" showInputMessage="1" showErrorMessage="1" sqref="H9" xr:uid="{00000000-0002-0000-0100-000000000000}">
      <formula1>"Monthly, Annual, Beginning of the loan, End of the loan"</formula1>
    </dataValidation>
    <dataValidation type="list" allowBlank="1" showInputMessage="1" showErrorMessage="1" sqref="H6:H8" xr:uid="{00000000-0002-0000-0100-000001000000}">
      <formula1>"شهري, سنوي, دفعة مقدمة, القسط (الدفعة) الاول"</formula1>
    </dataValidation>
  </dataValidations>
  <pageMargins left="0.7" right="0.7" top="0.75" bottom="0.75" header="0.3" footer="0.3"/>
  <pageSetup orientation="portrait" r:id="rId1"/>
  <headerFooter>
    <oddHeader>&amp;C
&amp;G</oddHeader>
    <oddFooter>&amp;L&amp;"Arial,Regular"&amp;08&amp;K00C000General Business</oddFooter>
    <evenFooter>&amp;L&amp;"Arial,Regular"&amp;08&amp;K00C000General Business</evenFooter>
    <firstFooter>&amp;L&amp;"Arial,Regular"&amp;08&amp;K00C000General Business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/>
    <pageSetUpPr autoPageBreaks="0"/>
  </sheetPr>
  <dimension ref="B2:U29"/>
  <sheetViews>
    <sheetView showGridLines="0" rightToLeft="1" topLeftCell="B1" zoomScale="83" zoomScaleNormal="110" workbookViewId="0">
      <selection activeCell="I7" sqref="I7"/>
    </sheetView>
  </sheetViews>
  <sheetFormatPr defaultColWidth="8.88671875" defaultRowHeight="11.4" x14ac:dyDescent="0.2"/>
  <cols>
    <col min="1" max="1" width="0" style="1" hidden="1" customWidth="1"/>
    <col min="2" max="7" width="24.44140625" style="1" customWidth="1"/>
    <col min="8" max="8" width="29.109375" style="1" bestFit="1" customWidth="1"/>
    <col min="9" max="13" width="24.44140625" style="1" customWidth="1"/>
    <col min="14" max="14" width="17.44140625" style="1" bestFit="1" customWidth="1"/>
    <col min="15" max="15" width="11" style="1" bestFit="1" customWidth="1"/>
    <col min="16" max="16" width="12" style="1" bestFit="1" customWidth="1"/>
    <col min="17" max="17" width="8.88671875" style="1"/>
    <col min="18" max="18" width="10.44140625" style="1" bestFit="1" customWidth="1"/>
    <col min="19" max="19" width="11.5546875" style="1" bestFit="1" customWidth="1"/>
    <col min="20" max="20" width="10.5546875" style="1" bestFit="1" customWidth="1"/>
    <col min="21" max="16384" width="8.88671875" style="1"/>
  </cols>
  <sheetData>
    <row r="2" spans="2:19" ht="17.100000000000001" customHeight="1" x14ac:dyDescent="0.2">
      <c r="B2" s="63" t="s">
        <v>10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4" spans="2:19" x14ac:dyDescent="0.2">
      <c r="B4" s="61" t="s">
        <v>11</v>
      </c>
      <c r="C4" s="61"/>
      <c r="D4" s="61"/>
      <c r="E4" s="61"/>
      <c r="F4" s="61"/>
    </row>
    <row r="6" spans="2:19" x14ac:dyDescent="0.2">
      <c r="B6" s="44" t="s">
        <v>5</v>
      </c>
      <c r="C6" s="44">
        <v>12</v>
      </c>
      <c r="E6" s="16" t="s">
        <v>9</v>
      </c>
      <c r="F6" s="13">
        <f>XIRR(S17:S29,R17:R29)</f>
        <v>0.35968117117881782</v>
      </c>
    </row>
    <row r="7" spans="2:19" x14ac:dyDescent="0.2">
      <c r="B7" s="45"/>
      <c r="C7" s="45"/>
    </row>
    <row r="8" spans="2:19" x14ac:dyDescent="0.2">
      <c r="B8" s="44" t="s">
        <v>14</v>
      </c>
      <c r="C8" s="46">
        <f>المدخلات!E6</f>
        <v>100000</v>
      </c>
    </row>
    <row r="9" spans="2:19" x14ac:dyDescent="0.2">
      <c r="B9" s="44" t="s">
        <v>36</v>
      </c>
      <c r="C9" s="46">
        <f>-SUM(E18:E29)</f>
        <v>14869.861914196317</v>
      </c>
    </row>
    <row r="10" spans="2:19" x14ac:dyDescent="0.2">
      <c r="B10" s="44" t="s">
        <v>15</v>
      </c>
      <c r="C10" s="46">
        <f>SUM($M$17:$M$29)</f>
        <v>2300</v>
      </c>
    </row>
    <row r="11" spans="2:19" x14ac:dyDescent="0.2">
      <c r="B11" s="44" t="s">
        <v>16</v>
      </c>
      <c r="C11" s="47">
        <f>EDATE(المدخلات!E12,C6)</f>
        <v>45687</v>
      </c>
      <c r="S11" s="8"/>
    </row>
    <row r="12" spans="2:19" x14ac:dyDescent="0.2">
      <c r="S12" s="8"/>
    </row>
    <row r="13" spans="2:19" x14ac:dyDescent="0.2">
      <c r="I13" s="2"/>
      <c r="O13" s="14"/>
      <c r="S13" s="7"/>
    </row>
    <row r="14" spans="2:19" x14ac:dyDescent="0.2">
      <c r="F14" s="12"/>
      <c r="O14" s="7"/>
      <c r="P14" s="8"/>
      <c r="Q14" s="8"/>
    </row>
    <row r="15" spans="2:19" ht="17.399999999999999" x14ac:dyDescent="0.3">
      <c r="M15" s="12"/>
      <c r="R15" s="62" t="s">
        <v>19</v>
      </c>
      <c r="S15" s="62"/>
    </row>
    <row r="16" spans="2:19" ht="15" x14ac:dyDescent="0.2">
      <c r="B16" s="51" t="s">
        <v>12</v>
      </c>
      <c r="C16" s="51" t="s">
        <v>13</v>
      </c>
      <c r="D16" s="51" t="s">
        <v>26</v>
      </c>
      <c r="E16" s="51" t="s">
        <v>37</v>
      </c>
      <c r="F16" s="51" t="s">
        <v>21</v>
      </c>
      <c r="G16" s="51" t="s">
        <v>34</v>
      </c>
      <c r="H16" s="51" t="s">
        <v>32</v>
      </c>
      <c r="I16" s="51" t="s">
        <v>27</v>
      </c>
      <c r="J16" s="51" t="s">
        <v>1</v>
      </c>
      <c r="K16" s="51" t="s">
        <v>2</v>
      </c>
      <c r="L16" s="51" t="s">
        <v>0</v>
      </c>
      <c r="M16" s="51" t="s">
        <v>28</v>
      </c>
      <c r="N16" s="51" t="s">
        <v>29</v>
      </c>
      <c r="R16" s="52" t="s">
        <v>17</v>
      </c>
      <c r="S16" s="52" t="s">
        <v>18</v>
      </c>
    </row>
    <row r="17" spans="2:21" x14ac:dyDescent="0.2">
      <c r="B17" s="15">
        <v>0</v>
      </c>
      <c r="C17" s="9">
        <f>المدخلات!E11</f>
        <v>45292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 t="str">
        <f>IF(AND(المدخلات!$H$6="دفعة مقدمة",B17=0),المدخلات!$J$6,"")</f>
        <v/>
      </c>
      <c r="K17" s="6" t="str">
        <f>IF(AND(المدخلات!$H$7="دفعة مقدمة",B17=0),المدخلات!$J$7,"")</f>
        <v/>
      </c>
      <c r="L17" s="6" t="str">
        <f>IF(AND(المدخلات!$H$8="دفعة مقدمة",B17=0),المدخلات!$J$8,"")</f>
        <v/>
      </c>
      <c r="M17" s="6">
        <f t="shared" ref="M17:M29" si="0">IF(B17&lt;&gt;"",SUM(J17:L17),"")</f>
        <v>0</v>
      </c>
      <c r="N17" s="4">
        <f t="shared" ref="N17:N29" si="1">IF(B17&lt;&gt;"",(-H17+M17),"")</f>
        <v>0</v>
      </c>
      <c r="R17" s="9">
        <f>C17</f>
        <v>45292</v>
      </c>
      <c r="S17" s="5">
        <f>-(C8-N17)</f>
        <v>-100000</v>
      </c>
      <c r="T17" s="39"/>
      <c r="U17" s="8"/>
    </row>
    <row r="18" spans="2:21" x14ac:dyDescent="0.2">
      <c r="B18" s="15">
        <v>1</v>
      </c>
      <c r="C18" s="9">
        <f>المدخلات!E12</f>
        <v>45321</v>
      </c>
      <c r="D18" s="6">
        <f>IFERROR(PPMT(المدخلات!$E$7/12,B18,$C$6,المدخلات!$E$6)," ")</f>
        <v>-7372.4884928496931</v>
      </c>
      <c r="E18" s="6">
        <f>IFERROR(IPMT(المدخلات!$E$7/12,B18,$C$6,المدخلات!$E$6)," ")</f>
        <v>-2200</v>
      </c>
      <c r="F18" s="6">
        <f>D18</f>
        <v>-7372.4884928496931</v>
      </c>
      <c r="G18" s="6">
        <f>E18</f>
        <v>-2200</v>
      </c>
      <c r="H18" s="6">
        <f>D18+E18</f>
        <v>-9572.488492849694</v>
      </c>
      <c r="I18" s="6">
        <f>C8+D18</f>
        <v>92627.51150715031</v>
      </c>
      <c r="J18" s="6">
        <f>IF(B18&lt;&gt;"",IF(AND(المدخلات!$H$6="سنوي",MOD(B18,12)=0),المدخلات!$J$6,IF(AND(المدخلات!$H$6="القسط (الدفعة) الاول",B18=1),المدخلات!$J$6,IF(المدخلات!$H$6="شهري",المدخلات!$J$6,""))),"")</f>
        <v>2300</v>
      </c>
      <c r="K18" s="6" t="str">
        <f>IF(B18&lt;&gt;"",IF(AND(المدخلات!$H$7="سنوي",MOD(B18,12)=0),المدخلات!$J$7,IF(AND(المدخلات!$H$7="القسط (الدفعة) الاول",B18=1),المدخلات!$J$7,IF(المدخلات!$H$7="شهري",المدخلات!$J$7,""))),"")</f>
        <v/>
      </c>
      <c r="L18" s="6" t="str">
        <f>IF(B18&lt;&gt;"",IF(AND(المدخلات!$H$8="سنوي",MOD(B18,12)=0),المدخلات!$J$8,IF(AND(المدخلات!$H$8="القسط (الدفعة) الاول",B18=1),المدخلات!$J$8,IF(المدخلات!$H$8="شهري",المدخلات!$J$8,IF(AND(المدخلات!$H$8="End of the loan",B18=12),المدخلات!$J$8,"")))),"")</f>
        <v/>
      </c>
      <c r="M18" s="6">
        <f t="shared" si="0"/>
        <v>2300</v>
      </c>
      <c r="N18" s="4">
        <f t="shared" si="1"/>
        <v>11872.488492849694</v>
      </c>
      <c r="R18" s="9">
        <f t="shared" ref="R18:R29" si="2">C18</f>
        <v>45321</v>
      </c>
      <c r="S18" s="5">
        <f>IFERROR(ROUND((_xlfn.IFNA(VLOOKUP(R18,$C$18:$N$29,12,0),0)),2)," ")</f>
        <v>11872.49</v>
      </c>
      <c r="T18" s="39"/>
      <c r="U18" s="35"/>
    </row>
    <row r="19" spans="2:21" x14ac:dyDescent="0.2">
      <c r="B19" s="15">
        <f>IF(B18="","",IF((B18+1)&lt;=$C$6,B18+1,""))</f>
        <v>2</v>
      </c>
      <c r="C19" s="9">
        <f>IF(B19="","",EDATE($C$18,(B19-1)))</f>
        <v>45351</v>
      </c>
      <c r="D19" s="6">
        <f>IFERROR(IF(B19&lt;&gt;"",PPMT(المدخلات!$E$7/12,B19,$C$6,المدخلات!$E$6),"")," ")</f>
        <v>-7534.6832396923865</v>
      </c>
      <c r="E19" s="6">
        <f>IFERROR(IPMT(المدخلات!$E$7/12,B19,$C$6,المدخلات!$E$6)," ")</f>
        <v>-2037.8052531573071</v>
      </c>
      <c r="F19" s="6">
        <f t="shared" ref="F19:F29" si="3">IF(B19&lt;&gt;"",F18+D19,"")</f>
        <v>-14907.17173254208</v>
      </c>
      <c r="G19" s="6">
        <f t="shared" ref="G19:G29" si="4">IF(B19&lt;&gt;"",G18+E19,"")</f>
        <v>-4237.8052531573067</v>
      </c>
      <c r="H19" s="6">
        <f t="shared" ref="H19:H29" si="5">IF(B19&lt;&gt;"",D19+E19,"")</f>
        <v>-9572.488492849694</v>
      </c>
      <c r="I19" s="6">
        <f t="shared" ref="I19:I29" si="6">IF(B19&lt;&gt;"",I18+D19,"")</f>
        <v>85092.828267457924</v>
      </c>
      <c r="J19" s="6" t="str">
        <f>IF(B19&lt;&gt;"",IF(AND(المدخلات!$H$6="سنوي",MOD(B19,12)=0),المدخلات!$J$6,IF(AND(المدخلات!$H$6="القسط (الدفعة) الاول",B19=1),المدخلات!$J$6,IF(المدخلات!$H$6="شهري",المدخلات!$J$6,""))),"")</f>
        <v/>
      </c>
      <c r="K19" s="6" t="str">
        <f>IF(B19&lt;&gt;"",IF(AND(المدخلات!$H$7="سنوي",MOD(B19,12)=0),المدخلات!$J$7,IF(AND(المدخلات!$H$7="القسط (الدفعة) الاول",B19=1),المدخلات!$J$7,IF(المدخلات!$H$7="شهري",المدخلات!$J$7,""))),"")</f>
        <v/>
      </c>
      <c r="L19" s="6" t="str">
        <f>IF(B19&lt;&gt;"",IF(AND(المدخلات!$H$8="سنوي",MOD(B19,12)=0),المدخلات!$J$8,IF(AND(المدخلات!$H$8="القسط (الدفعة) الاول",B19=1),المدخلات!$J$8,IF(المدخلات!$H$8="شهري",المدخلات!$J$8,IF(AND(المدخلات!$H$8="End of the loan",B19=12),المدخلات!$J$8,"")))),"")</f>
        <v/>
      </c>
      <c r="M19" s="6">
        <f t="shared" si="0"/>
        <v>0</v>
      </c>
      <c r="N19" s="4">
        <f t="shared" si="1"/>
        <v>9572.488492849694</v>
      </c>
      <c r="R19" s="9">
        <f t="shared" si="2"/>
        <v>45351</v>
      </c>
      <c r="S19" s="5">
        <f t="shared" ref="S19:S29" si="7">IFERROR(ROUND((_xlfn.IFNA(VLOOKUP(R19,$C$18:$N$29,12,0),0)),2)," ")</f>
        <v>9572.49</v>
      </c>
      <c r="T19" s="39"/>
      <c r="U19" s="35"/>
    </row>
    <row r="20" spans="2:21" x14ac:dyDescent="0.2">
      <c r="B20" s="15">
        <f t="shared" ref="B20:B29" si="8">IF(B19="","",IF((B19+1)&lt;=$C$6,B19+1,""))</f>
        <v>3</v>
      </c>
      <c r="C20" s="9">
        <f t="shared" ref="C20:C28" si="9">IF(B20="","",EDATE($C$18,(B20-1)))</f>
        <v>45381</v>
      </c>
      <c r="D20" s="6">
        <f>IFERROR(IF(B20&lt;&gt;"",PPMT(المدخلات!$E$7/12,B20,$C$6,المدخلات!$E$6),"")," ")</f>
        <v>-7700.4462709656182</v>
      </c>
      <c r="E20" s="6">
        <f>IFERROR(IPMT(المدخلات!$E$7/12,B20,$C$6,المدخلات!$E$6)," ")</f>
        <v>-1872.0422218840745</v>
      </c>
      <c r="F20" s="6">
        <f t="shared" si="3"/>
        <v>-22607.618003507698</v>
      </c>
      <c r="G20" s="6">
        <f t="shared" si="4"/>
        <v>-6109.8474750413807</v>
      </c>
      <c r="H20" s="6">
        <f t="shared" si="5"/>
        <v>-9572.4884928496922</v>
      </c>
      <c r="I20" s="6">
        <f t="shared" si="6"/>
        <v>77392.381996492302</v>
      </c>
      <c r="J20" s="6" t="str">
        <f>IF(B20&lt;&gt;"",IF(AND(المدخلات!$H$6="سنوي",MOD(B20,12)=0),المدخلات!$J$6,IF(AND(المدخلات!$H$6="القسط (الدفعة) الاول",B20=1),المدخلات!$J$6,IF(المدخلات!$H$6="شهري",المدخلات!$J$6,""))),"")</f>
        <v/>
      </c>
      <c r="K20" s="6" t="str">
        <f>IF(B20&lt;&gt;"",IF(AND(المدخلات!$H$7="سنوي",MOD(B20,12)=0),المدخلات!$J$7,IF(AND(المدخلات!$H$7="القسط (الدفعة) الاول",B20=1),المدخلات!$J$7,IF(المدخلات!$H$7="شهري",المدخلات!$J$7,""))),"")</f>
        <v/>
      </c>
      <c r="L20" s="6" t="str">
        <f>IF(B20&lt;&gt;"",IF(AND(المدخلات!$H$8="سنوي",MOD(B20,12)=0),المدخلات!$J$8,IF(AND(المدخلات!$H$8="القسط (الدفعة) الاول",B20=1),المدخلات!$J$8,IF(المدخلات!$H$8="شهري",المدخلات!$J$8,IF(AND(المدخلات!$H$8="End of the loan",B20=12),المدخلات!$J$8,"")))),"")</f>
        <v/>
      </c>
      <c r="M20" s="6">
        <f t="shared" si="0"/>
        <v>0</v>
      </c>
      <c r="N20" s="4">
        <f t="shared" si="1"/>
        <v>9572.4884928496922</v>
      </c>
      <c r="R20" s="9">
        <f t="shared" si="2"/>
        <v>45381</v>
      </c>
      <c r="S20" s="5">
        <f t="shared" si="7"/>
        <v>9572.49</v>
      </c>
      <c r="T20" s="39"/>
      <c r="U20" s="35"/>
    </row>
    <row r="21" spans="2:21" x14ac:dyDescent="0.2">
      <c r="B21" s="15">
        <f t="shared" si="8"/>
        <v>4</v>
      </c>
      <c r="C21" s="9">
        <f t="shared" si="9"/>
        <v>45412</v>
      </c>
      <c r="D21" s="6">
        <f>IFERROR(IF(B21&lt;&gt;"",PPMT(المدخلات!$E$7/12,B21,$C$6,المدخلات!$E$6),"")," ")</f>
        <v>-7869.856088926862</v>
      </c>
      <c r="E21" s="6">
        <f>IFERROR(IPMT(المدخلات!$E$7/12,B21,$C$6,المدخلات!$E$6)," ")</f>
        <v>-1702.6324039228311</v>
      </c>
      <c r="F21" s="6">
        <f t="shared" si="3"/>
        <v>-30477.474092434561</v>
      </c>
      <c r="G21" s="6">
        <f t="shared" si="4"/>
        <v>-7812.4798789642118</v>
      </c>
      <c r="H21" s="6">
        <f t="shared" si="5"/>
        <v>-9572.488492849694</v>
      </c>
      <c r="I21" s="6">
        <f t="shared" si="6"/>
        <v>69522.525907565447</v>
      </c>
      <c r="J21" s="6" t="str">
        <f>IF(B21&lt;&gt;"",IF(AND(المدخلات!$H$6="سنوي",MOD(B21,12)=0),المدخلات!$J$6,IF(AND(المدخلات!$H$6="القسط (الدفعة) الاول",B21=1),المدخلات!$J$6,IF(المدخلات!$H$6="شهري",المدخلات!$J$6,""))),"")</f>
        <v/>
      </c>
      <c r="K21" s="6" t="str">
        <f>IF(B21&lt;&gt;"",IF(AND(المدخلات!$H$7="سنوي",MOD(B21,12)=0),المدخلات!$J$7,IF(AND(المدخلات!$H$7="القسط (الدفعة) الاول",B21=1),المدخلات!$J$7,IF(المدخلات!$H$7="شهري",المدخلات!$J$7,""))),"")</f>
        <v/>
      </c>
      <c r="L21" s="6" t="str">
        <f>IF(B21&lt;&gt;"",IF(AND(المدخلات!$H$8="سنوي",MOD(B21,12)=0),المدخلات!$J$8,IF(AND(المدخلات!$H$8="القسط (الدفعة) الاول",B21=1),المدخلات!$J$8,IF(المدخلات!$H$8="شهري",المدخلات!$J$8,IF(AND(المدخلات!$H$8="End of the loan",B21=12),المدخلات!$J$8,"")))),"")</f>
        <v/>
      </c>
      <c r="M21" s="6">
        <f t="shared" si="0"/>
        <v>0</v>
      </c>
      <c r="N21" s="4">
        <f t="shared" si="1"/>
        <v>9572.488492849694</v>
      </c>
      <c r="R21" s="9">
        <f t="shared" si="2"/>
        <v>45412</v>
      </c>
      <c r="S21" s="5">
        <f t="shared" si="7"/>
        <v>9572.49</v>
      </c>
      <c r="T21" s="39"/>
      <c r="U21" s="35"/>
    </row>
    <row r="22" spans="2:21" x14ac:dyDescent="0.2">
      <c r="B22" s="15">
        <f t="shared" si="8"/>
        <v>5</v>
      </c>
      <c r="C22" s="9">
        <f t="shared" si="9"/>
        <v>45442</v>
      </c>
      <c r="D22" s="6">
        <f>IFERROR(IF(B22&lt;&gt;"",PPMT(المدخلات!$E$7/12,B22,$C$6,المدخلات!$E$6),"")," ")</f>
        <v>-8042.9929228832534</v>
      </c>
      <c r="E22" s="6">
        <f>IFERROR(IPMT(المدخلات!$E$7/12,B22,$C$6,المدخلات!$E$6)," ")</f>
        <v>-1529.4955699664399</v>
      </c>
      <c r="F22" s="6">
        <f t="shared" si="3"/>
        <v>-38520.467015317816</v>
      </c>
      <c r="G22" s="6">
        <f t="shared" si="4"/>
        <v>-9341.9754489306524</v>
      </c>
      <c r="H22" s="6">
        <f t="shared" si="5"/>
        <v>-9572.488492849694</v>
      </c>
      <c r="I22" s="6">
        <f t="shared" si="6"/>
        <v>61479.532984682191</v>
      </c>
      <c r="J22" s="6" t="str">
        <f>IF(B22&lt;&gt;"",IF(AND(المدخلات!$H$6="سنوي",MOD(B22,12)=0),المدخلات!$J$6,IF(AND(المدخلات!$H$6="القسط (الدفعة) الاول",B22=1),المدخلات!$J$6,IF(المدخلات!$H$6="شهري",المدخلات!$J$6,""))),"")</f>
        <v/>
      </c>
      <c r="K22" s="6" t="str">
        <f>IF(B22&lt;&gt;"",IF(AND(المدخلات!$H$7="سنوي",MOD(B22,12)=0),المدخلات!$J$7,IF(AND(المدخلات!$H$7="القسط (الدفعة) الاول",B22=1),المدخلات!$J$7,IF(المدخلات!$H$7="شهري",المدخلات!$J$7,""))),"")</f>
        <v/>
      </c>
      <c r="L22" s="6" t="str">
        <f>IF(B22&lt;&gt;"",IF(AND(المدخلات!$H$8="سنوي",MOD(B22,12)=0),المدخلات!$J$8,IF(AND(المدخلات!$H$8="القسط (الدفعة) الاول",B22=1),المدخلات!$J$8,IF(المدخلات!$H$8="شهري",المدخلات!$J$8,IF(AND(المدخلات!$H$8="End of the loan",B22=12),المدخلات!$J$8,"")))),"")</f>
        <v/>
      </c>
      <c r="M22" s="6">
        <f t="shared" si="0"/>
        <v>0</v>
      </c>
      <c r="N22" s="4">
        <f t="shared" si="1"/>
        <v>9572.488492849694</v>
      </c>
      <c r="R22" s="9">
        <f t="shared" si="2"/>
        <v>45442</v>
      </c>
      <c r="S22" s="5">
        <f t="shared" si="7"/>
        <v>9572.49</v>
      </c>
      <c r="T22" s="39"/>
      <c r="U22" s="35"/>
    </row>
    <row r="23" spans="2:21" x14ac:dyDescent="0.2">
      <c r="B23" s="15">
        <f t="shared" si="8"/>
        <v>6</v>
      </c>
      <c r="C23" s="9">
        <f t="shared" si="9"/>
        <v>45473</v>
      </c>
      <c r="D23" s="6">
        <f>IFERROR(IF(B23&lt;&gt;"",PPMT(المدخلات!$E$7/12,B23,$C$6,المدخلات!$E$6),"")," ")</f>
        <v>-8219.9387671866843</v>
      </c>
      <c r="E23" s="6">
        <f>IFERROR(IPMT(المدخلات!$E$7/12,B23,$C$6,المدخلات!$E$6)," ")</f>
        <v>-1352.5497256630083</v>
      </c>
      <c r="F23" s="6">
        <f t="shared" si="3"/>
        <v>-46740.405782504502</v>
      </c>
      <c r="G23" s="6">
        <f t="shared" si="4"/>
        <v>-10694.52517459366</v>
      </c>
      <c r="H23" s="6">
        <f t="shared" si="5"/>
        <v>-9572.4884928496922</v>
      </c>
      <c r="I23" s="6">
        <f t="shared" si="6"/>
        <v>53259.594217495505</v>
      </c>
      <c r="J23" s="6" t="str">
        <f>IF(B23&lt;&gt;"",IF(AND(المدخلات!$H$6="سنوي",MOD(B23,12)=0),المدخلات!$J$6,IF(AND(المدخلات!$H$6="القسط (الدفعة) الاول",B23=1),المدخلات!$J$6,IF(المدخلات!$H$6="شهري",المدخلات!$J$6,""))),"")</f>
        <v/>
      </c>
      <c r="K23" s="6" t="str">
        <f>IF(B23&lt;&gt;"",IF(AND(المدخلات!$H$7="سنوي",MOD(B23,12)=0),المدخلات!$J$7,IF(AND(المدخلات!$H$7="القسط (الدفعة) الاول",B23=1),المدخلات!$J$7,IF(المدخلات!$H$7="شهري",المدخلات!$J$7,""))),"")</f>
        <v/>
      </c>
      <c r="L23" s="6" t="str">
        <f>IF(B23&lt;&gt;"",IF(AND(المدخلات!$H$8="سنوي",MOD(B23,12)=0),المدخلات!$J$8,IF(AND(المدخلات!$H$8="القسط (الدفعة) الاول",B23=1),المدخلات!$J$8,IF(المدخلات!$H$8="شهري",المدخلات!$J$8,IF(AND(المدخلات!$H$8="End of the loan",B23=12),المدخلات!$J$8,"")))),"")</f>
        <v/>
      </c>
      <c r="M23" s="6">
        <f t="shared" si="0"/>
        <v>0</v>
      </c>
      <c r="N23" s="4">
        <f t="shared" si="1"/>
        <v>9572.4884928496922</v>
      </c>
      <c r="R23" s="9">
        <f t="shared" si="2"/>
        <v>45473</v>
      </c>
      <c r="S23" s="5">
        <f t="shared" si="7"/>
        <v>9572.49</v>
      </c>
      <c r="T23" s="39"/>
      <c r="U23" s="35"/>
    </row>
    <row r="24" spans="2:21" x14ac:dyDescent="0.2">
      <c r="B24" s="15">
        <f t="shared" si="8"/>
        <v>7</v>
      </c>
      <c r="C24" s="9">
        <f t="shared" si="9"/>
        <v>45503</v>
      </c>
      <c r="D24" s="6">
        <f>IFERROR(IF(B24&lt;&gt;"",PPMT(المدخلات!$E$7/12,B24,$C$6,المدخلات!$E$6),"")," ")</f>
        <v>-8400.7774200647909</v>
      </c>
      <c r="E24" s="6">
        <f>IFERROR(IPMT(المدخلات!$E$7/12,B24,$C$6,المدخلات!$E$6)," ")</f>
        <v>-1171.711072784901</v>
      </c>
      <c r="F24" s="6">
        <f t="shared" si="3"/>
        <v>-55141.183202569293</v>
      </c>
      <c r="G24" s="6">
        <f t="shared" si="4"/>
        <v>-11866.236247378562</v>
      </c>
      <c r="H24" s="6">
        <f t="shared" si="5"/>
        <v>-9572.4884928496922</v>
      </c>
      <c r="I24" s="6">
        <f t="shared" si="6"/>
        <v>44858.816797430714</v>
      </c>
      <c r="J24" s="6" t="str">
        <f>IF(B24&lt;&gt;"",IF(AND(المدخلات!$H$6="سنوي",MOD(B24,12)=0),المدخلات!$J$6,IF(AND(المدخلات!$H$6="القسط (الدفعة) الاول",B24=1),المدخلات!$J$6,IF(المدخلات!$H$6="شهري",المدخلات!$J$6,""))),"")</f>
        <v/>
      </c>
      <c r="K24" s="6" t="str">
        <f>IF(B24&lt;&gt;"",IF(AND(المدخلات!$H$7="سنوي",MOD(B24,12)=0),المدخلات!$J$7,IF(AND(المدخلات!$H$7="القسط (الدفعة) الاول",B24=1),المدخلات!$J$7,IF(المدخلات!$H$7="شهري",المدخلات!$J$7,""))),"")</f>
        <v/>
      </c>
      <c r="L24" s="6" t="str">
        <f>IF(B24&lt;&gt;"",IF(AND(المدخلات!$H$8="سنوي",MOD(B24,12)=0),المدخلات!$J$8,IF(AND(المدخلات!$H$8="القسط (الدفعة) الاول",B24=1),المدخلات!$J$8,IF(المدخلات!$H$8="شهري",المدخلات!$J$8,IF(AND(المدخلات!$H$8="End of the loan",B24=12),المدخلات!$J$8,"")))),"")</f>
        <v/>
      </c>
      <c r="M24" s="6">
        <f t="shared" si="0"/>
        <v>0</v>
      </c>
      <c r="N24" s="4">
        <f t="shared" si="1"/>
        <v>9572.4884928496922</v>
      </c>
      <c r="R24" s="9">
        <f t="shared" si="2"/>
        <v>45503</v>
      </c>
      <c r="S24" s="5">
        <f t="shared" si="7"/>
        <v>9572.49</v>
      </c>
      <c r="T24" s="39"/>
      <c r="U24" s="35"/>
    </row>
    <row r="25" spans="2:21" x14ac:dyDescent="0.2">
      <c r="B25" s="15">
        <f t="shared" si="8"/>
        <v>8</v>
      </c>
      <c r="C25" s="9">
        <f t="shared" si="9"/>
        <v>45534</v>
      </c>
      <c r="D25" s="6">
        <f>IFERROR(IF(B25&lt;&gt;"",PPMT(المدخلات!$E$7/12,B25,$C$6,المدخلات!$E$6),"")," ")</f>
        <v>-8585.5945233062175</v>
      </c>
      <c r="E25" s="6">
        <f>IFERROR(IPMT(المدخلات!$E$7/12,B25,$C$6,المدخلات!$E$6)," ")</f>
        <v>-986.89396954347581</v>
      </c>
      <c r="F25" s="6">
        <f t="shared" si="3"/>
        <v>-63726.777725875509</v>
      </c>
      <c r="G25" s="6">
        <f t="shared" si="4"/>
        <v>-12853.130216922038</v>
      </c>
      <c r="H25" s="6">
        <f t="shared" si="5"/>
        <v>-9572.488492849694</v>
      </c>
      <c r="I25" s="6">
        <f t="shared" si="6"/>
        <v>36273.222274124499</v>
      </c>
      <c r="J25" s="6" t="str">
        <f>IF(B25&lt;&gt;"",IF(AND(المدخلات!$H$6="سنوي",MOD(B25,12)=0),المدخلات!$J$6,IF(AND(المدخلات!$H$6="القسط (الدفعة) الاول",B25=1),المدخلات!$J$6,IF(المدخلات!$H$6="شهري",المدخلات!$J$6,""))),"")</f>
        <v/>
      </c>
      <c r="K25" s="6" t="str">
        <f>IF(B25&lt;&gt;"",IF(AND(المدخلات!$H$7="سنوي",MOD(B25,12)=0),المدخلات!$J$7,IF(AND(المدخلات!$H$7="القسط (الدفعة) الاول",B25=1),المدخلات!$J$7,IF(المدخلات!$H$7="شهري",المدخلات!$J$7,""))),"")</f>
        <v/>
      </c>
      <c r="L25" s="6" t="str">
        <f>IF(B25&lt;&gt;"",IF(AND(المدخلات!$H$8="سنوي",MOD(B25,12)=0),المدخلات!$J$8,IF(AND(المدخلات!$H$8="القسط (الدفعة) الاول",B25=1),المدخلات!$J$8,IF(المدخلات!$H$8="شهري",المدخلات!$J$8,IF(AND(المدخلات!$H$8="End of the loan",B25=12),المدخلات!$J$8,"")))),"")</f>
        <v/>
      </c>
      <c r="M25" s="6">
        <f t="shared" si="0"/>
        <v>0</v>
      </c>
      <c r="N25" s="4">
        <f t="shared" si="1"/>
        <v>9572.488492849694</v>
      </c>
      <c r="R25" s="9">
        <f t="shared" si="2"/>
        <v>45534</v>
      </c>
      <c r="S25" s="5">
        <f t="shared" si="7"/>
        <v>9572.49</v>
      </c>
      <c r="T25" s="39"/>
      <c r="U25" s="35"/>
    </row>
    <row r="26" spans="2:21" x14ac:dyDescent="0.2">
      <c r="B26" s="15">
        <f t="shared" si="8"/>
        <v>9</v>
      </c>
      <c r="C26" s="9">
        <f t="shared" si="9"/>
        <v>45565</v>
      </c>
      <c r="D26" s="6">
        <f>IFERROR(IF(B26&lt;&gt;"",PPMT(المدخلات!$E$7/12,B26,$C$6,المدخلات!$E$6),"")," ")</f>
        <v>-8774.4776028189535</v>
      </c>
      <c r="E26" s="6">
        <f>IFERROR(IPMT(المدخلات!$E$7/12,B26,$C$6,المدخلات!$E$6)," ")</f>
        <v>-798.01089003073901</v>
      </c>
      <c r="F26" s="6">
        <f t="shared" si="3"/>
        <v>-72501.25532869446</v>
      </c>
      <c r="G26" s="6">
        <f t="shared" si="4"/>
        <v>-13651.141106952777</v>
      </c>
      <c r="H26" s="6">
        <f t="shared" si="5"/>
        <v>-9572.4884928496922</v>
      </c>
      <c r="I26" s="6">
        <f t="shared" si="6"/>
        <v>27498.744671305547</v>
      </c>
      <c r="J26" s="6" t="str">
        <f>IF(B26&lt;&gt;"",IF(AND(المدخلات!$H$6="سنوي",MOD(B26,12)=0),المدخلات!$J$6,IF(AND(المدخلات!$H$6="القسط (الدفعة) الاول",B26=1),المدخلات!$J$6,IF(المدخلات!$H$6="شهري",المدخلات!$J$6,""))),"")</f>
        <v/>
      </c>
      <c r="K26" s="6" t="str">
        <f>IF(B26&lt;&gt;"",IF(AND(المدخلات!$H$7="سنوي",MOD(B26,12)=0),المدخلات!$J$7,IF(AND(المدخلات!$H$7="القسط (الدفعة) الاول",B26=1),المدخلات!$J$7,IF(المدخلات!$H$7="شهري",المدخلات!$J$7,""))),"")</f>
        <v/>
      </c>
      <c r="L26" s="6" t="str">
        <f>IF(B26&lt;&gt;"",IF(AND(المدخلات!$H$8="سنوي",MOD(B26,12)=0),المدخلات!$J$8,IF(AND(المدخلات!$H$8="القسط (الدفعة) الاول",B26=1),المدخلات!$J$8,IF(المدخلات!$H$8="شهري",المدخلات!$J$8,IF(AND(المدخلات!$H$8="End of the loan",B26=12),المدخلات!$J$8,"")))),"")</f>
        <v/>
      </c>
      <c r="M26" s="6">
        <f t="shared" si="0"/>
        <v>0</v>
      </c>
      <c r="N26" s="4">
        <f t="shared" si="1"/>
        <v>9572.4884928496922</v>
      </c>
      <c r="R26" s="9">
        <f t="shared" si="2"/>
        <v>45565</v>
      </c>
      <c r="S26" s="5">
        <f t="shared" si="7"/>
        <v>9572.49</v>
      </c>
      <c r="T26" s="39"/>
      <c r="U26" s="35"/>
    </row>
    <row r="27" spans="2:21" x14ac:dyDescent="0.2">
      <c r="B27" s="15">
        <f t="shared" si="8"/>
        <v>10</v>
      </c>
      <c r="C27" s="9">
        <f t="shared" si="9"/>
        <v>45595</v>
      </c>
      <c r="D27" s="6">
        <f>IFERROR(IF(B27&lt;&gt;"",PPMT(المدخلات!$E$7/12,B27,$C$6,المدخلات!$E$6),"")," ")</f>
        <v>-8967.516110080971</v>
      </c>
      <c r="E27" s="6">
        <f>IFERROR(IPMT(المدخلات!$E$7/12,B27,$C$6,المدخلات!$E$6)," ")</f>
        <v>-604.9723827687219</v>
      </c>
      <c r="F27" s="6">
        <f t="shared" si="3"/>
        <v>-81468.771438775439</v>
      </c>
      <c r="G27" s="6">
        <f t="shared" si="4"/>
        <v>-14256.113489721498</v>
      </c>
      <c r="H27" s="6">
        <f t="shared" si="5"/>
        <v>-9572.4884928496922</v>
      </c>
      <c r="I27" s="6">
        <f t="shared" si="6"/>
        <v>18531.228561224576</v>
      </c>
      <c r="J27" s="6" t="str">
        <f>IF(B27&lt;&gt;"",IF(AND(المدخلات!$H$6="سنوي",MOD(B27,12)=0),المدخلات!$J$6,IF(AND(المدخلات!$H$6="القسط (الدفعة) الاول",B27=1),المدخلات!$J$6,IF(المدخلات!$H$6="شهري",المدخلات!$J$6,""))),"")</f>
        <v/>
      </c>
      <c r="K27" s="6" t="str">
        <f>IF(B27&lt;&gt;"",IF(AND(المدخلات!$H$7="سنوي",MOD(B27,12)=0),المدخلات!$J$7,IF(AND(المدخلات!$H$7="القسط (الدفعة) الاول",B27=1),المدخلات!$J$7,IF(المدخلات!$H$7="شهري",المدخلات!$J$7,""))),"")</f>
        <v/>
      </c>
      <c r="L27" s="6" t="str">
        <f>IF(B27&lt;&gt;"",IF(AND(المدخلات!$H$8="سنوي",MOD(B27,12)=0),المدخلات!$J$8,IF(AND(المدخلات!$H$8="القسط (الدفعة) الاول",B27=1),المدخلات!$J$8,IF(المدخلات!$H$8="شهري",المدخلات!$J$8,IF(AND(المدخلات!$H$8="End of the loan",B27=12),المدخلات!$J$8,"")))),"")</f>
        <v/>
      </c>
      <c r="M27" s="6">
        <f t="shared" si="0"/>
        <v>0</v>
      </c>
      <c r="N27" s="4">
        <f t="shared" si="1"/>
        <v>9572.4884928496922</v>
      </c>
      <c r="R27" s="9">
        <f t="shared" si="2"/>
        <v>45595</v>
      </c>
      <c r="S27" s="5">
        <f t="shared" si="7"/>
        <v>9572.49</v>
      </c>
      <c r="T27" s="39"/>
      <c r="U27" s="35"/>
    </row>
    <row r="28" spans="2:21" x14ac:dyDescent="0.2">
      <c r="B28" s="15">
        <f t="shared" si="8"/>
        <v>11</v>
      </c>
      <c r="C28" s="9">
        <f t="shared" si="9"/>
        <v>45626</v>
      </c>
      <c r="D28" s="6">
        <f>IFERROR(IF(B28&lt;&gt;"",PPMT(المدخلات!$E$7/12,B28,$C$6,المدخلات!$E$6),"")," ")</f>
        <v>-9164.8014645027524</v>
      </c>
      <c r="E28" s="6">
        <f>IFERROR(IPMT(المدخلات!$E$7/12,B28,$C$6,المدخلات!$E$6)," ")</f>
        <v>-407.68702834694056</v>
      </c>
      <c r="F28" s="6">
        <f t="shared" si="3"/>
        <v>-90633.572903278196</v>
      </c>
      <c r="G28" s="6">
        <f t="shared" si="4"/>
        <v>-14663.800518068438</v>
      </c>
      <c r="H28" s="6">
        <f t="shared" si="5"/>
        <v>-9572.4884928496922</v>
      </c>
      <c r="I28" s="6">
        <f t="shared" si="6"/>
        <v>9366.4270967218235</v>
      </c>
      <c r="J28" s="6" t="str">
        <f>IF(B28&lt;&gt;"",IF(AND(المدخلات!$H$6="سنوي",MOD(B28,12)=0),المدخلات!$J$6,IF(AND(المدخلات!$H$6="القسط (الدفعة) الاول",B28=1),المدخلات!$J$6,IF(المدخلات!$H$6="شهري",المدخلات!$J$6,""))),"")</f>
        <v/>
      </c>
      <c r="K28" s="6" t="str">
        <f>IF(B28&lt;&gt;"",IF(AND(المدخلات!$H$7="سنوي",MOD(B28,12)=0),المدخلات!$J$7,IF(AND(المدخلات!$H$7="القسط (الدفعة) الاول",B28=1),المدخلات!$J$7,IF(المدخلات!$H$7="شهري",المدخلات!$J$7,""))),"")</f>
        <v/>
      </c>
      <c r="L28" s="6" t="str">
        <f>IF(B28&lt;&gt;"",IF(AND(المدخلات!$H$8="سنوي",MOD(B28,12)=0),المدخلات!$J$8,IF(AND(المدخلات!$H$8="القسط (الدفعة) الاول",B28=1),المدخلات!$J$8,IF(المدخلات!$H$8="شهري",المدخلات!$J$8,IF(AND(المدخلات!$H$8="End of the loan",B28=12),المدخلات!$J$8,"")))),"")</f>
        <v/>
      </c>
      <c r="M28" s="6">
        <f t="shared" si="0"/>
        <v>0</v>
      </c>
      <c r="N28" s="4">
        <f t="shared" si="1"/>
        <v>9572.4884928496922</v>
      </c>
      <c r="R28" s="9">
        <f t="shared" si="2"/>
        <v>45626</v>
      </c>
      <c r="S28" s="5">
        <f t="shared" si="7"/>
        <v>9572.49</v>
      </c>
      <c r="T28" s="39"/>
      <c r="U28" s="35"/>
    </row>
    <row r="29" spans="2:21" x14ac:dyDescent="0.2">
      <c r="B29" s="15">
        <f t="shared" si="8"/>
        <v>12</v>
      </c>
      <c r="C29" s="9">
        <v>45657</v>
      </c>
      <c r="D29" s="6">
        <f>IFERROR(IF(B29&lt;&gt;"",PPMT(المدخلات!$E$7/12,B29,$C$6,المدخلات!$E$6),"")," ")</f>
        <v>-9366.4270967218126</v>
      </c>
      <c r="E29" s="6">
        <f>IFERROR(IPMT(المدخلات!$E$7/12,B29,$C$6,المدخلات!$E$6)," ")</f>
        <v>-206.0613961278799</v>
      </c>
      <c r="F29" s="6">
        <f t="shared" si="3"/>
        <v>-100000.00000000001</v>
      </c>
      <c r="G29" s="6">
        <f t="shared" si="4"/>
        <v>-14869.861914196317</v>
      </c>
      <c r="H29" s="6">
        <f t="shared" si="5"/>
        <v>-9572.4884928496922</v>
      </c>
      <c r="I29" s="6">
        <f t="shared" si="6"/>
        <v>1.0913936421275139E-11</v>
      </c>
      <c r="J29" s="6" t="str">
        <f>IF(B29&lt;&gt;"",IF(AND(المدخلات!$H$6="سنوي",MOD(B29,12)=0),المدخلات!$J$6,IF(AND(المدخلات!$H$6="القسط (الدفعة) الاول",B29=1),المدخلات!$J$6,IF(المدخلات!$H$6="شهري",المدخلات!$J$6,""))),"")</f>
        <v/>
      </c>
      <c r="K29" s="6">
        <f>IF(B29&lt;&gt;"",IF(AND(المدخلات!$H$7="سنوي",MOD(B29,12)=0),المدخلات!$J$7,IF(AND(المدخلات!$H$7="القسط (الدفعة) الاول",B29=1),المدخلات!$J$7,IF(المدخلات!$H$7="شهري",المدخلات!$J$7,""))),"")</f>
        <v>0</v>
      </c>
      <c r="L29" s="6">
        <f>IF(B29&lt;&gt;"",IF(AND(المدخلات!$H$8="سنوي",MOD(B29,12)=0),المدخلات!$J$8,IF(AND(المدخلات!$H$8="القسط (الدفعة) الاول",B29=1),المدخلات!$J$8,IF(المدخلات!$H$8="شهري",المدخلات!$J$8,IF(AND(المدخلات!$H$8="End of the loan",B29=12),المدخلات!$J$8,"")))),"")</f>
        <v>0</v>
      </c>
      <c r="M29" s="6">
        <f t="shared" si="0"/>
        <v>0</v>
      </c>
      <c r="N29" s="4">
        <f t="shared" si="1"/>
        <v>9572.4884928496922</v>
      </c>
      <c r="R29" s="9">
        <f t="shared" si="2"/>
        <v>45657</v>
      </c>
      <c r="S29" s="5">
        <f t="shared" si="7"/>
        <v>9572.49</v>
      </c>
      <c r="T29" s="39"/>
      <c r="U29" s="35"/>
    </row>
  </sheetData>
  <sheetProtection algorithmName="SHA-512" hashValue="dSbKwVYmWgnOsGkujOdaYIGWqsgAU5eeqqCFQp5ddxQa0FESChVG1gVP/L7ahh8ctItWgRLM3YfwO/DWHp9DrA==" saltValue="MVciiruCKmKGs7CxT2N4vg==" spinCount="100000" sheet="1" objects="1" scenarios="1" selectLockedCells="1" selectUnlockedCells="1"/>
  <mergeCells count="3">
    <mergeCell ref="B4:F4"/>
    <mergeCell ref="R15:S15"/>
    <mergeCell ref="B2:N2"/>
  </mergeCells>
  <pageMargins left="0.7" right="0.7" top="0.75" bottom="0.75" header="0.3" footer="0.3"/>
  <pageSetup orientation="portrait" r:id="rId1"/>
  <headerFooter>
    <oddHeader>&amp;C
&amp;G</oddHeader>
    <oddFooter>&amp;L&amp;"Arial,Regular"&amp;08&amp;K00C000General Business</oddFooter>
    <evenFooter>&amp;L&amp;"Arial,Regular"&amp;08&amp;K00C000General Business</evenFooter>
    <firstFooter>&amp;L&amp;"Arial,Regular"&amp;08&amp;K00C000General Business</first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oiceField_Migration xmlns="fd6d702b-8c04-4095-b7e6-3a5180c8a9f9" xsi:nil="true"/>
    <TaxCatchAll xmlns="c6d2322e-1447-41e6-8e12-af9c90863e9c">
      <Value>37</Value>
    </TaxCatchAll>
    <SAMAFilePublishDate xmlns="fd6d702b-8c04-4095-b7e6-3a5180c8a9f9">2023-11-06T21:00:00+00:00</SAMAFilePublish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انظمة وتعليمات مؤسسة النقد العربي السعودي" ma:contentTypeID="0x01010091234716FD16491C8B9B987C95E86589003326FEE0CE58724CB01D7C32CCD60C04" ma:contentTypeVersion="10" ma:contentTypeDescription="انظمة وتعليمات العميل" ma:contentTypeScope="" ma:versionID="5804634e32753c6273d9c47ad20fdc5a">
  <xsd:schema xmlns:xsd="http://www.w3.org/2001/XMLSchema" xmlns:xs="http://www.w3.org/2001/XMLSchema" xmlns:p="http://schemas.microsoft.com/office/2006/metadata/properties" xmlns:ns2="fd6d702b-8c04-4095-b7e6-3a5180c8a9f9" xmlns:ns3="c6d2322e-1447-41e6-8e12-af9c90863e9c" targetNamespace="http://schemas.microsoft.com/office/2006/metadata/properties" ma:root="true" ma:fieldsID="5c2c10b95999293e5d68b9430b3d3216" ns2:_="" ns3:_="">
    <xsd:import namespace="fd6d702b-8c04-4095-b7e6-3a5180c8a9f9"/>
    <xsd:import namespace="c6d2322e-1447-41e6-8e12-af9c90863e9c"/>
    <xsd:element name="properties">
      <xsd:complexType>
        <xsd:sequence>
          <xsd:element name="documentManagement">
            <xsd:complexType>
              <xsd:all>
                <xsd:element ref="ns2:SAMAFilePublishDate" minOccurs="0"/>
                <xsd:element ref="ns3:TaxCatchAll" minOccurs="0"/>
                <xsd:element ref="ns2:ChoiceField_Migr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d702b-8c04-4095-b7e6-3a5180c8a9f9" elementFormDefault="qualified">
    <xsd:import namespace="http://schemas.microsoft.com/office/2006/documentManagement/types"/>
    <xsd:import namespace="http://schemas.microsoft.com/office/infopath/2007/PartnerControls"/>
    <xsd:element name="SAMAFilePublishDate" ma:index="9" nillable="true" ma:displayName="تاريخ النشر" ma:format="DateOnly" ma:internalName="SAMAFilePublishDate" ma:readOnly="false">
      <xsd:simpleType>
        <xsd:restriction base="dms:DateTime"/>
      </xsd:simpleType>
    </xsd:element>
    <xsd:element name="ChoiceField_Migration" ma:index="11" nillable="true" ma:displayName="ChoiceField_Migration" ma:internalName="ChoiceField_Migra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2322e-1447-41e6-8e12-af9c90863e9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754530d6-6e73-48b4-b8b5-7143321fdc71}" ma:internalName="TaxCatchAll" ma:readOnly="false" ma:showField="CatchAllData" ma:web="2dcccdc7-6d29-4966-b3d0-f3508f11dc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d="http://www.w3.org/2001/XMLSchema" xmlns:xsi="http://www.w3.org/2001/XMLSchema-instance" xmlns="http://www.boldonjames.com/2008/01/sie/internal/label" sislVersion="0" policy="fab68110-d7b3-411c-a174-58f092b76247" origin="userSelected">
  <element uid="a6d31833-681e-42c7-b4cf-b64710378cda" value=""/>
</sisl>
</file>

<file path=customXml/itemProps1.xml><?xml version="1.0" encoding="utf-8"?>
<ds:datastoreItem xmlns:ds="http://schemas.openxmlformats.org/officeDocument/2006/customXml" ds:itemID="{2E898CB9-8FE3-481B-ADA0-625E2C94B371}">
  <ds:schemaRefs>
    <ds:schemaRef ds:uri="http://schemas.microsoft.com/office/2006/metadata/properties"/>
    <ds:schemaRef ds:uri="http://www.w3.org/XML/1998/namespace"/>
    <ds:schemaRef ds:uri="http://purl.org/dc/elements/1.1/"/>
    <ds:schemaRef ds:uri="fd6d702b-8c04-4095-b7e6-3a5180c8a9f9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6d2322e-1447-41e6-8e12-af9c90863e9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7215DD-CA30-4DC1-BE24-D581292100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ED011B-BF67-46D3-83C8-828BA7DDFC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6d702b-8c04-4095-b7e6-3a5180c8a9f9"/>
    <ds:schemaRef ds:uri="c6d2322e-1447-41e6-8e12-af9c90863e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25A2C23-F61B-4411-9C50-2ABEC3FBE0C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المدخلات</vt:lpstr>
      <vt:lpstr>بطاقات الائتمان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حاسبة معدل النسبة السنوي (APR)</dc:title>
  <dc:creator>Ruchi Batra</dc:creator>
  <cp:keywords>General Business</cp:keywords>
  <cp:lastModifiedBy>Muhammad Z Asif</cp:lastModifiedBy>
  <cp:lastPrinted>2022-04-17T07:51:20Z</cp:lastPrinted>
  <dcterms:created xsi:type="dcterms:W3CDTF">2021-12-01T07:33:33Z</dcterms:created>
  <dcterms:modified xsi:type="dcterms:W3CDTF">2024-09-29T12:11:36Z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0x01010091234716FD16491C8B9B987C95E86589003326FEE0CE58724CB01D7C32CCD60C04</vt:lpwstr>
  </property>
  <property fmtid="{D5CDD505-2E9C-101B-9397-08002B2CF9AE}" pid="3" name="SAMAConsumerCategory">
    <vt:lpwstr>37;#قواعد- لوائح|4f68a7b3-e45d-4b2c-9c7f-28b18b60dabf</vt:lpwstr>
  </property>
  <property fmtid="{D5CDD505-2E9C-101B-9397-08002B2CF9AE}" pid="4" name="SAMAConsumerCategoryTaxHTField0">
    <vt:lpwstr>قواعد- لوائح|4f68a7b3-e45d-4b2c-9c7f-28b18b60dabf</vt:lpwstr>
  </property>
  <property fmtid="{D5CDD505-2E9C-101B-9397-08002B2CF9AE}" pid="5" name="Order">
    <vt:r8>1300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ComplianceAssetId">
    <vt:lpwstr/>
  </property>
  <property fmtid="{D5CDD505-2E9C-101B-9397-08002B2CF9AE}" pid="12" name="docIndexRef">
    <vt:lpwstr>553aaf48-b95f-4c05-a24a-f7c4622cdb90</vt:lpwstr>
  </property>
  <property fmtid="{D5CDD505-2E9C-101B-9397-08002B2CF9AE}" pid="13" name="bjSaver">
    <vt:lpwstr>mfp1jgW2bKzvMF/8MLN8iDtQrYJ8c96E</vt:lpwstr>
  </property>
  <property fmtid="{D5CDD505-2E9C-101B-9397-08002B2CF9AE}" pid="14" name="bjDocumentLabelXML">
    <vt:lpwstr>&lt;?xml version="1.0" encoding="us-ascii"?&gt;&lt;sisl xmlns:xsd="http://www.w3.org/2001/XMLSchema" xmlns:xsi="http://www.w3.org/2001/XMLSchema-instance" sislVersion="0" policy="fab68110-d7b3-411c-a174-58f092b76247" origin="userSelected" xmlns="http://www.boldonj</vt:lpwstr>
  </property>
  <property fmtid="{D5CDD505-2E9C-101B-9397-08002B2CF9AE}" pid="15" name="bjDocumentLabelXML-0">
    <vt:lpwstr>ames.com/2008/01/sie/internal/label"&gt;&lt;element uid="a6d31833-681e-42c7-b4cf-b64710378cda" value="" /&gt;&lt;/sisl&gt;</vt:lpwstr>
  </property>
  <property fmtid="{D5CDD505-2E9C-101B-9397-08002B2CF9AE}" pid="16" name="bjDocumentSecurityLabel">
    <vt:lpwstr>General Business</vt:lpwstr>
  </property>
  <property fmtid="{D5CDD505-2E9C-101B-9397-08002B2CF9AE}" pid="17" name="bjClsUserRVM">
    <vt:lpwstr>[]</vt:lpwstr>
  </property>
  <property fmtid="{D5CDD505-2E9C-101B-9397-08002B2CF9AE}" pid="18" name="bjLeftFooterLabel-first">
    <vt:lpwstr>&amp;"Arial,Regular"&amp;08&amp;K00C000General Business</vt:lpwstr>
  </property>
  <property fmtid="{D5CDD505-2E9C-101B-9397-08002B2CF9AE}" pid="19" name="bjLeftFooterLabel-even">
    <vt:lpwstr>&amp;"Arial,Regular"&amp;08&amp;K00C000General Business</vt:lpwstr>
  </property>
  <property fmtid="{D5CDD505-2E9C-101B-9397-08002B2CF9AE}" pid="20" name="bjLeftFooterLabel">
    <vt:lpwstr>&amp;"Arial,Regular"&amp;08&amp;K00C000General Business</vt:lpwstr>
  </property>
</Properties>
</file>